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45" activeTab="0"/>
  </bookViews>
  <sheets>
    <sheet name="Budsjett" sheetId="1" r:id="rId1"/>
    <sheet name="Noter 2011" sheetId="2" r:id="rId2"/>
  </sheets>
  <definedNames>
    <definedName name="SHEET_TITLE" localSheetId="0">"Budsjett"</definedName>
    <definedName name="_xlnm.Print_Titles" localSheetId="0">'Budsjett'!$4:$5</definedName>
    <definedName name="_xlnm.Print_Area" localSheetId="0">'Budsjett'!$A:$IV</definedName>
    <definedName name="SHEET_TITLE" localSheetId="1">"Noter 2011"</definedName>
    <definedName name="_xlnm.Print_Area" localSheetId="1">'Noter 2011'!$A:$IV</definedName>
  </definedNames>
  <calcPr fullCalcOnLoad="1"/>
</workbook>
</file>

<file path=xl/sharedStrings.xml><?xml version="1.0" encoding="utf-8"?>
<sst xmlns="http://schemas.openxmlformats.org/spreadsheetml/2006/main" count="125" uniqueCount="97">
  <si>
    <t>Linux magasinet</t>
  </si>
  <si>
    <t>4190</t>
  </si>
  <si>
    <t>Sum driftsinntekter</t>
  </si>
  <si>
    <t>Resultat før finansposter</t>
  </si>
  <si>
    <t>Æresmedlemmer</t>
  </si>
  <si>
    <t>Medlemsmøter</t>
  </si>
  <si>
    <t>Disponbelt pr medlem (snitt)</t>
  </si>
  <si>
    <t>Inntekter andre arrangementer</t>
  </si>
  <si>
    <t>3185</t>
  </si>
  <si>
    <t>Ekstraordinær investering, kartprosjekt</t>
  </si>
  <si>
    <t>Personlige medlemmer</t>
  </si>
  <si>
    <t>Kontorrekvisita</t>
  </si>
  <si>
    <t>Sum Usenix relaterte utgifter</t>
  </si>
  <si>
    <t>Andre inntekter</t>
  </si>
  <si>
    <t>Generalforsamling/årsmøte</t>
  </si>
  <si>
    <t>Antall personer (1-3 pr bedrift)</t>
  </si>
  <si>
    <t>Medlemsregister</t>
  </si>
  <si>
    <t>Dollarkurs</t>
  </si>
  <si>
    <t>Sum finansposter</t>
  </si>
  <si>
    <t>Kontingent/SAGE rabatt og tap</t>
  </si>
  <si>
    <t>3280</t>
  </si>
  <si>
    <t>Gaver</t>
  </si>
  <si>
    <t>Kontingentinntekter</t>
  </si>
  <si>
    <t>Revisjon ordinær</t>
  </si>
  <si>
    <t>USENIX SAGE</t>
  </si>
  <si>
    <t>Agio (valutagevinst)</t>
  </si>
  <si>
    <t>8060</t>
  </si>
  <si>
    <t>SAGE Student</t>
  </si>
  <si>
    <t>Reklame/Markedsføring</t>
  </si>
  <si>
    <t>Kontonr.</t>
  </si>
  <si>
    <t>Budsjett</t>
  </si>
  <si>
    <t>REGNSKAP</t>
  </si>
  <si>
    <t>Sekretariat/assistanse arrangement</t>
  </si>
  <si>
    <t>REELT</t>
  </si>
  <si>
    <t>OPPR.BUDSJ</t>
  </si>
  <si>
    <t>SATS</t>
  </si>
  <si>
    <t>REV.BUDSJ</t>
  </si>
  <si>
    <t>BUDSJETT</t>
  </si>
  <si>
    <t>EST.</t>
  </si>
  <si>
    <t>USENIX AM</t>
  </si>
  <si>
    <t>Valutagevinst</t>
  </si>
  <si>
    <t>Sum kontingenter</t>
  </si>
  <si>
    <t>3100</t>
  </si>
  <si>
    <t>Web server</t>
  </si>
  <si>
    <t>BUDSJETTFORSLAG FOR NUUG, 2010 og 2011</t>
  </si>
  <si>
    <t>Driftsutgifter</t>
  </si>
  <si>
    <t>Bankgebyrer</t>
  </si>
  <si>
    <t>7770</t>
  </si>
  <si>
    <t>Personlig uten Usenix</t>
  </si>
  <si>
    <t>Video opptak</t>
  </si>
  <si>
    <t>Inntekt Linux Magasinet</t>
  </si>
  <si>
    <t>3190</t>
  </si>
  <si>
    <t>Sum utgifter</t>
  </si>
  <si>
    <t>Studenter</t>
  </si>
  <si>
    <t>Kopiering</t>
  </si>
  <si>
    <t>Disponibelt etter Usenix</t>
  </si>
  <si>
    <t>Inntekter årsmøte</t>
  </si>
  <si>
    <t>Sum driftsutgifter</t>
  </si>
  <si>
    <t>Ekstra personer I bedrift</t>
  </si>
  <si>
    <t>Sekretariat/administrasjon</t>
  </si>
  <si>
    <t>Reduksjon pga ikke fullt år</t>
  </si>
  <si>
    <t>Årsresultat</t>
  </si>
  <si>
    <t>8800</t>
  </si>
  <si>
    <t>Styret</t>
  </si>
  <si>
    <t>Bedriftsmedlemmer</t>
  </si>
  <si>
    <t>Revisjon konsulent</t>
  </si>
  <si>
    <t>USENIX SAGE-S</t>
  </si>
  <si>
    <t>Disagio (valutatap)</t>
  </si>
  <si>
    <t>8160</t>
  </si>
  <si>
    <t>Sum SAGE inntekt</t>
  </si>
  <si>
    <t>3110</t>
  </si>
  <si>
    <t>Andre arrangementer</t>
  </si>
  <si>
    <t>2007</t>
  </si>
  <si>
    <t>Regnskap ordinær</t>
  </si>
  <si>
    <t>2008</t>
  </si>
  <si>
    <t>2010</t>
  </si>
  <si>
    <t>2011</t>
  </si>
  <si>
    <t>USENIX S-AM</t>
  </si>
  <si>
    <t>Valutatap</t>
  </si>
  <si>
    <t>2012</t>
  </si>
  <si>
    <t>8150</t>
  </si>
  <si>
    <t>SAGE</t>
  </si>
  <si>
    <t>Prosjekter</t>
  </si>
  <si>
    <t>Leie lokale (inkl. lager, postboks)</t>
  </si>
  <si>
    <t>6300</t>
  </si>
  <si>
    <t>Usenix utgifter</t>
  </si>
  <si>
    <t>Renter (inntekt negativt tall)</t>
  </si>
  <si>
    <t>8050</t>
  </si>
  <si>
    <t>Student uten Usenix</t>
  </si>
  <si>
    <t>Porto</t>
  </si>
  <si>
    <t>Budsjett-tallene er ikke nøye vurdert, men stort sett basert på årets kjente verdier.</t>
  </si>
  <si>
    <t>Budsjettposten til arrangering av medlemsmøter er halvert for 2011, basert på at vi ikke har flydd inn noen første halvår.</t>
  </si>
  <si>
    <t>Kontingent:</t>
  </si>
  <si>
    <t>Kommentarer til revidert budsjett 2011 og budsjett 2012</t>
  </si>
  <si>
    <t>Budsjettposten for webserver er økt kraftig da det planlegges å kjøpe inn erstatning for dagens server.</t>
  </si>
  <si>
    <t>Det foreslås ingen endringer i kontingentsatsene for 2010.</t>
  </si>
  <si>
    <t>Regnskapskostnaden er mye høyere i 2011, pga. kostnader relatert til opplæring av sekretariatet.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</si>
</sst>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" fontId="2" fillId="0" borderId="1" xfId="0" applyNumberFormat="1" applyFont="1" applyFill="1" applyBorder="1" applyAlignment="1" applyProtection="1">
      <alignment horizontal="center"/>
      <protection/>
    </xf>
    <xf numFmtId="4" fontId="0" fillId="0" borderId="2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17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0"/>
  <sheetViews>
    <sheetView tabSelected="1" zoomScaleSheetLayoutView="1" workbookViewId="0" topLeftCell="A1">
      <pane xSplit="1" ySplit="5" topLeftCell="B50" activePane="bottomRight" state="frozen"/>
      <selection pane="topLeft" activeCell="I1" sqref="I1:I65536"/>
      <selection pane="topRight" activeCell="I1" sqref="I1"/>
      <selection pane="bottomLeft" activeCell="I6" sqref="I6"/>
      <selection pane="bottomRight" activeCell="I1" sqref="I1"/>
    </sheetView>
  </sheetViews>
  <sheetFormatPr defaultColWidth="9.140625" defaultRowHeight="12.75"/>
  <cols>
    <col min="1" max="1" width="31.7109375" style="1" customWidth="1"/>
    <col min="2" max="2" width="6.421875" style="19" customWidth="1"/>
    <col min="3" max="3" width="10.421875" style="22" hidden="1" customWidth="1"/>
    <col min="4" max="4" width="11.140625" style="22" hidden="1" customWidth="1"/>
    <col min="5" max="5" width="6.8515625" style="1" hidden="1" customWidth="1"/>
    <col min="6" max="6" width="12.57421875" style="1" hidden="1" customWidth="1"/>
    <col min="7" max="7" width="6.00390625" style="1" hidden="1" customWidth="1"/>
    <col min="8" max="8" width="15.00390625" style="22" hidden="1" customWidth="1"/>
    <col min="9" max="9" width="6.00390625" style="1" customWidth="1"/>
    <col min="10" max="10" width="12.28125" style="22" customWidth="1"/>
    <col min="11" max="11" width="5.140625" style="1" customWidth="1"/>
    <col min="12" max="12" width="7.421875" style="1" customWidth="1"/>
    <col min="13" max="13" width="14.421875" style="22" bestFit="1" customWidth="1"/>
    <col min="14" max="14" width="11.28125" style="22" hidden="1" customWidth="1"/>
    <col min="15" max="15" width="6.00390625" style="1" customWidth="1"/>
    <col min="16" max="16" width="12.28125" style="22" customWidth="1"/>
    <col min="17" max="17" width="5.140625" style="1" customWidth="1"/>
    <col min="18" max="18" width="9.140625" style="1" customWidth="1"/>
    <col min="19" max="19" width="12.8515625" style="22" customWidth="1"/>
    <col min="20" max="20" width="9.140625" style="22" customWidth="1"/>
    <col min="21" max="21" width="9.140625" style="1" customWidth="1"/>
    <col min="22" max="22" width="12.28125" style="22" customWidth="1"/>
    <col min="23" max="23" width="9.140625" style="1" customWidth="1"/>
  </cols>
  <sheetData>
    <row r="2" spans="1:23" ht="18">
      <c r="A2" s="28" t="s">
        <v>44</v>
      </c>
      <c r="B2" s="27"/>
      <c r="C2" s="29"/>
      <c r="D2" s="29"/>
      <c r="E2" s="28"/>
      <c r="F2" s="28"/>
      <c r="G2" s="28"/>
      <c r="H2" s="29"/>
      <c r="I2" s="28"/>
      <c r="J2" s="29"/>
      <c r="K2" s="28"/>
      <c r="L2" s="28"/>
      <c r="M2" s="29"/>
      <c r="N2" s="29"/>
      <c r="O2" s="28"/>
      <c r="P2" s="29"/>
      <c r="Q2" s="28"/>
      <c r="R2" s="28"/>
      <c r="S2" s="29"/>
      <c r="T2" s="29"/>
      <c r="U2" s="28"/>
      <c r="V2" s="29"/>
      <c r="W2" s="28"/>
    </row>
    <row r="3" spans="11:23" ht="12.75">
      <c r="K3" s="14">
        <v>0.04</v>
      </c>
      <c r="Q3" s="14">
        <v>0.04</v>
      </c>
      <c r="W3" s="14">
        <v>0.04</v>
      </c>
    </row>
    <row r="4" spans="2:23" ht="12.75">
      <c r="B4" s="19" t="s">
        <v>29</v>
      </c>
      <c r="C4" s="16" t="s">
        <v>30</v>
      </c>
      <c r="D4" s="16" t="s">
        <v>31</v>
      </c>
      <c r="E4" s="11" t="s">
        <v>33</v>
      </c>
      <c r="F4" s="11" t="s">
        <v>34</v>
      </c>
      <c r="G4" s="11" t="s">
        <v>35</v>
      </c>
      <c r="H4" s="16" t="s">
        <v>36</v>
      </c>
      <c r="I4" s="11" t="s">
        <v>35</v>
      </c>
      <c r="J4" s="16" t="s">
        <v>37</v>
      </c>
      <c r="K4" s="11" t="s">
        <v>38</v>
      </c>
      <c r="L4" s="11" t="s">
        <v>33</v>
      </c>
      <c r="M4" s="13" t="s">
        <v>36</v>
      </c>
      <c r="N4" s="16" t="s">
        <v>31</v>
      </c>
      <c r="O4" s="11" t="s">
        <v>35</v>
      </c>
      <c r="P4" s="13" t="s">
        <v>37</v>
      </c>
      <c r="Q4" s="11" t="s">
        <v>38</v>
      </c>
      <c r="R4" s="11" t="s">
        <v>33</v>
      </c>
      <c r="S4" s="13" t="s">
        <v>36</v>
      </c>
      <c r="T4" s="16" t="s">
        <v>31</v>
      </c>
      <c r="U4" s="11" t="s">
        <v>35</v>
      </c>
      <c r="V4" s="13" t="s">
        <v>37</v>
      </c>
      <c r="W4" s="11" t="s">
        <v>38</v>
      </c>
    </row>
    <row r="5" spans="1:23" ht="12.75">
      <c r="A5" s="21"/>
      <c r="C5" s="23" t="s">
        <v>72</v>
      </c>
      <c r="D5" s="23" t="s">
        <v>72</v>
      </c>
      <c r="E5" s="25" t="s">
        <v>72</v>
      </c>
      <c r="F5" s="25" t="s">
        <v>74</v>
      </c>
      <c r="G5" s="25" t="s">
        <v>74</v>
      </c>
      <c r="H5" s="23" t="s">
        <v>74</v>
      </c>
      <c r="I5" s="25" t="s">
        <v>75</v>
      </c>
      <c r="J5" s="23" t="s">
        <v>75</v>
      </c>
      <c r="K5" s="25" t="s">
        <v>75</v>
      </c>
      <c r="L5" s="32">
        <v>40134</v>
      </c>
      <c r="M5" s="12" t="s">
        <v>75</v>
      </c>
      <c r="N5" s="23" t="s">
        <v>75</v>
      </c>
      <c r="O5" s="25" t="s">
        <v>76</v>
      </c>
      <c r="P5" s="12" t="s">
        <v>76</v>
      </c>
      <c r="Q5" s="25" t="s">
        <v>76</v>
      </c>
      <c r="R5" s="32">
        <v>40705</v>
      </c>
      <c r="S5" s="12" t="s">
        <v>76</v>
      </c>
      <c r="T5" s="23" t="s">
        <v>76</v>
      </c>
      <c r="U5" s="25" t="s">
        <v>79</v>
      </c>
      <c r="V5" s="25" t="s">
        <v>79</v>
      </c>
      <c r="W5" s="25" t="s">
        <v>79</v>
      </c>
    </row>
    <row r="6" spans="1:23" ht="12.75">
      <c r="A6" s="21" t="s">
        <v>22</v>
      </c>
      <c r="C6" s="23"/>
      <c r="D6" s="23"/>
      <c r="E6" s="25"/>
      <c r="F6" s="25"/>
      <c r="G6" s="25"/>
      <c r="H6" s="23"/>
      <c r="I6" s="25"/>
      <c r="J6" s="23"/>
      <c r="K6" s="25"/>
      <c r="L6" s="32"/>
      <c r="M6" s="12"/>
      <c r="N6" s="23"/>
      <c r="O6" s="25"/>
      <c r="P6" s="12"/>
      <c r="Q6" s="25"/>
      <c r="R6" s="32"/>
      <c r="S6" s="12"/>
      <c r="T6" s="23"/>
      <c r="U6" s="25"/>
      <c r="V6" s="12"/>
      <c r="W6" s="25"/>
    </row>
    <row r="7" spans="1:23" ht="12.75">
      <c r="A7" s="1" t="s">
        <v>64</v>
      </c>
      <c r="E7" s="1">
        <v>62</v>
      </c>
      <c r="F7" s="22">
        <v>252000</v>
      </c>
      <c r="G7" s="4">
        <v>4000</v>
      </c>
      <c r="H7" s="22" t="e">
        <f>#REF!*G7</f>
        <v>#REF!</v>
      </c>
      <c r="I7" s="4">
        <v>4000</v>
      </c>
      <c r="J7" s="22" t="e">
        <f>K7*I7</f>
        <v>#REF!</v>
      </c>
      <c r="K7" s="1" t="e">
        <f>ROUND(#REF!+#REF!*K$3,0)</f>
        <v>#REF!</v>
      </c>
      <c r="L7" s="1">
        <v>60</v>
      </c>
      <c r="M7" s="30">
        <f>L7*I7</f>
        <v>240000</v>
      </c>
      <c r="O7" s="4">
        <v>4000</v>
      </c>
      <c r="P7" s="30">
        <f>Q7*O7</f>
        <v>248000</v>
      </c>
      <c r="Q7" s="1">
        <f>ROUND(L7+L7*Q$3,0)</f>
        <v>62</v>
      </c>
      <c r="R7" s="1">
        <v>55</v>
      </c>
      <c r="S7" s="30">
        <f>R7*O7</f>
        <v>220000</v>
      </c>
      <c r="U7" s="4">
        <v>4000</v>
      </c>
      <c r="V7" s="30">
        <f>W7*U7</f>
        <v>228000</v>
      </c>
      <c r="W7" s="1">
        <f>ROUND(R7+R7*W$3,0)</f>
        <v>57</v>
      </c>
    </row>
    <row r="8" spans="1:23" ht="12.75">
      <c r="A8" s="20" t="s">
        <v>15</v>
      </c>
      <c r="E8" s="1">
        <v>173</v>
      </c>
      <c r="F8" s="22"/>
      <c r="G8" s="4"/>
      <c r="I8" s="4"/>
      <c r="K8" s="1" t="e">
        <f>ROUND(#REF!+#REF!*K$3,0)</f>
        <v>#REF!</v>
      </c>
      <c r="L8" s="1">
        <f>19+143</f>
        <v>162</v>
      </c>
      <c r="M8" s="30"/>
      <c r="O8" s="4"/>
      <c r="P8" s="30"/>
      <c r="Q8" s="1">
        <f>ROUND(L8+L8*Q$3,0)</f>
        <v>168</v>
      </c>
      <c r="R8" s="1">
        <f>23+122</f>
        <v>145</v>
      </c>
      <c r="S8" s="30"/>
      <c r="U8" s="4"/>
      <c r="V8" s="30"/>
      <c r="W8" s="1">
        <f>ROUND(R8+R8*W$3,0)</f>
        <v>151</v>
      </c>
    </row>
    <row r="9" spans="1:23" ht="12.75">
      <c r="A9" s="1" t="s">
        <v>58</v>
      </c>
      <c r="E9" s="1">
        <v>67</v>
      </c>
      <c r="F9" s="22">
        <v>56180</v>
      </c>
      <c r="G9" s="4">
        <v>1060</v>
      </c>
      <c r="H9" s="22" t="e">
        <f>#REF!*G9</f>
        <v>#REF!</v>
      </c>
      <c r="I9" s="4">
        <v>1060</v>
      </c>
      <c r="J9" s="22" t="e">
        <f>K9*I9</f>
        <v>#REF!</v>
      </c>
      <c r="K9" s="1" t="e">
        <f>ROUND(#REF!+#REF!*K$3,0)</f>
        <v>#REF!</v>
      </c>
      <c r="L9" s="1">
        <v>84</v>
      </c>
      <c r="M9" s="30">
        <f>L9*I9</f>
        <v>89040</v>
      </c>
      <c r="O9" s="4">
        <v>1060</v>
      </c>
      <c r="P9" s="30">
        <f>Q9*O9</f>
        <v>92220</v>
      </c>
      <c r="Q9" s="1">
        <f>ROUND(L9+L9*Q$3,0)</f>
        <v>87</v>
      </c>
      <c r="R9" s="1">
        <v>99</v>
      </c>
      <c r="S9" s="30">
        <f>R9*O9</f>
        <v>104940</v>
      </c>
      <c r="U9" s="4">
        <v>1060</v>
      </c>
      <c r="V9" s="30">
        <f>W9*U9</f>
        <v>109180</v>
      </c>
      <c r="W9" s="1">
        <f>ROUND(R9+R9*W$3,0)</f>
        <v>103</v>
      </c>
    </row>
    <row r="10" spans="1:23" ht="12.75">
      <c r="A10" s="1" t="s">
        <v>10</v>
      </c>
      <c r="E10" s="1">
        <v>57</v>
      </c>
      <c r="F10" s="22">
        <v>44400</v>
      </c>
      <c r="G10" s="4">
        <v>1110</v>
      </c>
      <c r="H10" s="22" t="e">
        <f>#REF!*G10</f>
        <v>#REF!</v>
      </c>
      <c r="I10" s="4">
        <v>1110</v>
      </c>
      <c r="J10" s="22" t="e">
        <f>K10*I10</f>
        <v>#REF!</v>
      </c>
      <c r="K10" s="1" t="e">
        <f>ROUND(#REF!+#REF!*K$3,0)</f>
        <v>#REF!</v>
      </c>
      <c r="L10" s="1">
        <v>60</v>
      </c>
      <c r="M10" s="30">
        <f>L10*I10</f>
        <v>66600</v>
      </c>
      <c r="O10" s="4">
        <v>1110</v>
      </c>
      <c r="P10" s="30">
        <f>Q10*O10</f>
        <v>68820</v>
      </c>
      <c r="Q10" s="1">
        <f>ROUND(L10+L10*Q$3,0)</f>
        <v>62</v>
      </c>
      <c r="R10" s="1">
        <v>54</v>
      </c>
      <c r="S10" s="30">
        <f>R10*O10</f>
        <v>59940</v>
      </c>
      <c r="U10" s="4">
        <v>1110</v>
      </c>
      <c r="V10" s="30">
        <f>W10*U10</f>
        <v>62160</v>
      </c>
      <c r="W10" s="1">
        <f>ROUND(R10+R10*W$3,0)</f>
        <v>56</v>
      </c>
    </row>
    <row r="11" spans="1:23" ht="12.75">
      <c r="A11" s="1" t="s">
        <v>53</v>
      </c>
      <c r="E11" s="1">
        <v>20</v>
      </c>
      <c r="F11" s="22">
        <v>5200</v>
      </c>
      <c r="G11" s="4">
        <v>260</v>
      </c>
      <c r="H11" s="22" t="e">
        <f>#REF!*G11</f>
        <v>#REF!</v>
      </c>
      <c r="I11" s="4">
        <v>260</v>
      </c>
      <c r="J11" s="22" t="e">
        <f>K11*I11</f>
        <v>#REF!</v>
      </c>
      <c r="K11" s="1" t="e">
        <f>ROUND(#REF!+#REF!*K$3,0)</f>
        <v>#REF!</v>
      </c>
      <c r="L11" s="1">
        <v>18</v>
      </c>
      <c r="M11" s="30">
        <f>L11*I11</f>
        <v>4680</v>
      </c>
      <c r="O11" s="4">
        <v>260</v>
      </c>
      <c r="P11" s="30">
        <f>Q11*O11</f>
        <v>4940</v>
      </c>
      <c r="Q11" s="1">
        <f>ROUND(L11+L11*Q$3,0)</f>
        <v>19</v>
      </c>
      <c r="R11" s="1">
        <v>11</v>
      </c>
      <c r="S11" s="30">
        <f>R11*O11</f>
        <v>2860</v>
      </c>
      <c r="U11" s="4">
        <v>260</v>
      </c>
      <c r="V11" s="30">
        <f>W11*U11</f>
        <v>2860</v>
      </c>
      <c r="W11" s="1">
        <f>ROUND(R11+R11*W$3,0)</f>
        <v>11</v>
      </c>
    </row>
    <row r="12" spans="1:23" ht="12.75">
      <c r="A12" s="1" t="s">
        <v>4</v>
      </c>
      <c r="E12" s="1">
        <v>1</v>
      </c>
      <c r="F12" s="22">
        <v>0</v>
      </c>
      <c r="G12" s="4">
        <v>0</v>
      </c>
      <c r="H12" s="22" t="e">
        <f>#REF!*G12</f>
        <v>#REF!</v>
      </c>
      <c r="I12" s="4">
        <v>0</v>
      </c>
      <c r="J12" s="22" t="e">
        <f>K12*I12</f>
        <v>#REF!</v>
      </c>
      <c r="K12" s="1" t="e">
        <f>ROUND(#REF!+#REF!*K$3,0)</f>
        <v>#REF!</v>
      </c>
      <c r="L12" s="1">
        <v>1</v>
      </c>
      <c r="M12" s="30">
        <f>L12*I12</f>
        <v>0</v>
      </c>
      <c r="O12" s="4">
        <v>0</v>
      </c>
      <c r="P12" s="30">
        <f>Q12*O12</f>
        <v>0</v>
      </c>
      <c r="Q12" s="1">
        <f>ROUND(L12+L12*Q$3,0)</f>
        <v>1</v>
      </c>
      <c r="R12" s="1">
        <v>1</v>
      </c>
      <c r="S12" s="30">
        <f>R12*O12</f>
        <v>0</v>
      </c>
      <c r="U12" s="4">
        <v>0</v>
      </c>
      <c r="V12" s="30">
        <f>W12*U12</f>
        <v>0</v>
      </c>
      <c r="W12" s="1">
        <f>ROUND(R12+R12*W$3,0)</f>
        <v>1</v>
      </c>
    </row>
    <row r="13" spans="1:23" ht="12.75">
      <c r="A13" s="1" t="s">
        <v>48</v>
      </c>
      <c r="E13" s="1">
        <v>4</v>
      </c>
      <c r="F13" s="22">
        <v>15500</v>
      </c>
      <c r="G13" s="4">
        <v>360</v>
      </c>
      <c r="H13" s="22" t="e">
        <f>#REF!*G13</f>
        <v>#REF!</v>
      </c>
      <c r="I13" s="4">
        <v>410</v>
      </c>
      <c r="J13" s="22" t="e">
        <f>K13*I13</f>
        <v>#REF!</v>
      </c>
      <c r="K13" s="1" t="e">
        <f>ROUND(#REF!+#REF!*K$3,0)</f>
        <v>#REF!</v>
      </c>
      <c r="L13" s="1">
        <v>16</v>
      </c>
      <c r="M13" s="30">
        <f>L13*I13</f>
        <v>6560</v>
      </c>
      <c r="O13" s="4">
        <v>410</v>
      </c>
      <c r="P13" s="30">
        <f>Q13*O13</f>
        <v>6970</v>
      </c>
      <c r="Q13" s="1">
        <f>ROUND(L13+L13*Q$3,0)</f>
        <v>17</v>
      </c>
      <c r="R13" s="1">
        <v>21</v>
      </c>
      <c r="S13" s="30">
        <f>R13*O13</f>
        <v>8610</v>
      </c>
      <c r="U13" s="4">
        <v>410</v>
      </c>
      <c r="V13" s="30">
        <f>W13*U13</f>
        <v>9020</v>
      </c>
      <c r="W13" s="1">
        <f>ROUND(R13+R13*W$3,0)</f>
        <v>22</v>
      </c>
    </row>
    <row r="14" spans="1:23" ht="12.75">
      <c r="A14" s="1" t="s">
        <v>88</v>
      </c>
      <c r="E14" s="1">
        <v>1</v>
      </c>
      <c r="F14" s="22">
        <v>500</v>
      </c>
      <c r="G14" s="4">
        <v>50</v>
      </c>
      <c r="H14" s="22" t="e">
        <f>#REF!*G14</f>
        <v>#REF!</v>
      </c>
      <c r="I14" s="4">
        <v>50</v>
      </c>
      <c r="J14" s="22" t="e">
        <f>K14*I14</f>
        <v>#REF!</v>
      </c>
      <c r="K14" s="1" t="e">
        <f>ROUND(#REF!+#REF!*K$3,0)</f>
        <v>#REF!</v>
      </c>
      <c r="L14" s="1">
        <v>2</v>
      </c>
      <c r="M14" s="30">
        <f>L14*I14</f>
        <v>100</v>
      </c>
      <c r="O14" s="4">
        <v>50</v>
      </c>
      <c r="P14" s="30">
        <f>Q14*O14</f>
        <v>100</v>
      </c>
      <c r="Q14" s="1">
        <f>ROUND(L14+L14*Q$3,0)</f>
        <v>2</v>
      </c>
      <c r="R14" s="1">
        <v>1</v>
      </c>
      <c r="S14" s="30">
        <f>R14*O14</f>
        <v>50</v>
      </c>
      <c r="U14" s="4">
        <v>50</v>
      </c>
      <c r="V14" s="30">
        <f>W14*U14</f>
        <v>50</v>
      </c>
      <c r="W14" s="1">
        <f>ROUND(R14+R14*W$3,0)</f>
        <v>1</v>
      </c>
    </row>
    <row r="15" spans="1:23" ht="12.75">
      <c r="A15" s="1" t="s">
        <v>41</v>
      </c>
      <c r="B15" s="19" t="s">
        <v>42</v>
      </c>
      <c r="C15" s="18">
        <v>355340.1</v>
      </c>
      <c r="D15" s="18">
        <v>398105.88</v>
      </c>
      <c r="E15" s="15">
        <f>SUM(E8:E14)</f>
        <v>323</v>
      </c>
      <c r="F15" s="18">
        <f>SUM(F7:F14)</f>
        <v>373780</v>
      </c>
      <c r="G15" s="4"/>
      <c r="H15" s="18" t="e">
        <f>SUM(H7:H14)</f>
        <v>#REF!</v>
      </c>
      <c r="I15" s="4"/>
      <c r="J15" s="18" t="e">
        <f>SUM(J7:J14)</f>
        <v>#REF!</v>
      </c>
      <c r="K15" s="15">
        <v>350.48</v>
      </c>
      <c r="L15" s="15">
        <f>SUM(L8:L14)</f>
        <v>343</v>
      </c>
      <c r="M15" s="8">
        <f>SUM(M7:M14)</f>
        <v>406980</v>
      </c>
      <c r="N15" s="18"/>
      <c r="O15" s="4"/>
      <c r="P15" s="8">
        <f>SUM(P7:P14)</f>
        <v>421050</v>
      </c>
      <c r="Q15" s="15">
        <v>350.48</v>
      </c>
      <c r="R15" s="15">
        <f>SUM(R8:R14)</f>
        <v>332</v>
      </c>
      <c r="S15" s="8">
        <f>SUM(S7:S14)</f>
        <v>396400</v>
      </c>
      <c r="T15" s="18"/>
      <c r="U15" s="4"/>
      <c r="V15" s="8">
        <f>SUM(V7:V14)</f>
        <v>411270</v>
      </c>
      <c r="W15" s="15">
        <v>350.48</v>
      </c>
    </row>
    <row r="16" spans="1:23" ht="12.75">
      <c r="A16" s="1" t="s">
        <v>81</v>
      </c>
      <c r="E16" s="1">
        <v>52</v>
      </c>
      <c r="F16" s="22"/>
      <c r="G16" s="4">
        <v>280</v>
      </c>
      <c r="H16" s="22" t="e">
        <f>#REF!*G16*(1-G20)</f>
        <v>#REF!</v>
      </c>
      <c r="I16" s="4">
        <v>280</v>
      </c>
      <c r="J16" s="22" t="e">
        <f>K16*I16*(1-I20)</f>
        <v>#REF!</v>
      </c>
      <c r="K16" s="1" t="e">
        <f>ROUND(#REF!+#REF!*K$3,0)</f>
        <v>#REF!</v>
      </c>
      <c r="L16" s="1">
        <v>63</v>
      </c>
      <c r="M16" s="30">
        <f>L16*I16</f>
        <v>17640</v>
      </c>
      <c r="O16" s="4">
        <v>280</v>
      </c>
      <c r="P16" s="30">
        <f>Q16*O16*(1-O20)</f>
        <v>18480</v>
      </c>
      <c r="Q16" s="1">
        <f>ROUND(L16+L16*Q$3,0)</f>
        <v>66</v>
      </c>
      <c r="R16" s="1">
        <v>44</v>
      </c>
      <c r="S16" s="30">
        <f>R16*O16</f>
        <v>12320</v>
      </c>
      <c r="U16" s="4">
        <v>280</v>
      </c>
      <c r="V16" s="30">
        <f>W16*U16*(1-U20)</f>
        <v>12880</v>
      </c>
      <c r="W16" s="1">
        <f>ROUND(R16+R16*W$3,0)</f>
        <v>46</v>
      </c>
    </row>
    <row r="17" spans="1:23" ht="12.75">
      <c r="A17" s="1" t="s">
        <v>27</v>
      </c>
      <c r="E17" s="1">
        <v>5</v>
      </c>
      <c r="F17" s="22"/>
      <c r="G17" s="4">
        <v>175</v>
      </c>
      <c r="H17" s="22" t="e">
        <f>#REF!*G17*(1-G20)</f>
        <v>#REF!</v>
      </c>
      <c r="I17" s="4">
        <v>175</v>
      </c>
      <c r="J17" s="22" t="e">
        <f>K17*I17*(1-I20)</f>
        <v>#REF!</v>
      </c>
      <c r="K17" s="1" t="e">
        <f>ROUND(#REF!+#REF!*K$3,0)</f>
        <v>#REF!</v>
      </c>
      <c r="L17" s="1">
        <v>4</v>
      </c>
      <c r="M17" s="30">
        <f>L17*I17</f>
        <v>700</v>
      </c>
      <c r="O17" s="4">
        <v>175</v>
      </c>
      <c r="P17" s="30">
        <f>Q17*O17*(1-O20)</f>
        <v>700</v>
      </c>
      <c r="Q17" s="1">
        <f>ROUND(L17+L17*Q$3,0)</f>
        <v>4</v>
      </c>
      <c r="R17" s="1">
        <v>3</v>
      </c>
      <c r="S17" s="30">
        <f>R17*O17</f>
        <v>525</v>
      </c>
      <c r="U17" s="4">
        <v>175</v>
      </c>
      <c r="V17" s="30">
        <f>W17*U17*(1-U20)</f>
        <v>525</v>
      </c>
      <c r="W17" s="1">
        <f>ROUND(R17+R17*W$3,0)</f>
        <v>3</v>
      </c>
    </row>
    <row r="18" spans="1:22" ht="12.75">
      <c r="A18" s="1" t="s">
        <v>69</v>
      </c>
      <c r="B18" s="19" t="s">
        <v>70</v>
      </c>
      <c r="F18" s="22"/>
      <c r="G18" s="4"/>
      <c r="H18" s="18" t="e">
        <f>SUM(H16:H17)</f>
        <v>#REF!</v>
      </c>
      <c r="I18" s="4"/>
      <c r="J18" s="18" t="e">
        <f>SUM(J16:J17)</f>
        <v>#REF!</v>
      </c>
      <c r="M18" s="8">
        <f>SUM(M16:M17)</f>
        <v>18340</v>
      </c>
      <c r="N18" s="18"/>
      <c r="O18" s="4"/>
      <c r="P18" s="8">
        <f>SUM(P16:P17)</f>
        <v>19180</v>
      </c>
      <c r="S18" s="8">
        <f>SUM(S16:S17)</f>
        <v>12845</v>
      </c>
      <c r="T18" s="18"/>
      <c r="U18" s="4"/>
      <c r="V18" s="8">
        <f>SUM(V16:V17)</f>
        <v>13405</v>
      </c>
    </row>
    <row r="19" spans="1:22" ht="12.75">
      <c r="A19" s="1" t="s">
        <v>19</v>
      </c>
      <c r="B19" s="19" t="s">
        <v>20</v>
      </c>
      <c r="D19" s="22">
        <v>-10489.98</v>
      </c>
      <c r="F19" s="22"/>
      <c r="G19" s="14">
        <v>0.03</v>
      </c>
      <c r="H19" s="22" t="e">
        <f>-(H15+H18)*G19</f>
        <v>#REF!</v>
      </c>
      <c r="I19" s="14">
        <v>0.07</v>
      </c>
      <c r="J19" s="22" t="e">
        <f>-(J15+J18)*I19</f>
        <v>#REF!</v>
      </c>
      <c r="M19" s="30">
        <f>-(M15+M18)*O19</f>
        <v>-29772.4</v>
      </c>
      <c r="O19" s="14">
        <v>0.07</v>
      </c>
      <c r="P19" s="30">
        <f>-(P15+P18)*O19</f>
        <v>-30816.100000000002</v>
      </c>
      <c r="S19" s="30">
        <f>-(S15+S18)*U19</f>
        <v>-28647.15</v>
      </c>
      <c r="U19" s="14">
        <v>0.07</v>
      </c>
      <c r="V19" s="30">
        <f>-(V15+V18)*U19</f>
        <v>-29727.250000000004</v>
      </c>
    </row>
    <row r="20" spans="1:22" ht="12.75">
      <c r="A20" s="20"/>
      <c r="F20" s="22"/>
      <c r="G20" s="14"/>
      <c r="I20" s="14"/>
      <c r="M20" s="30"/>
      <c r="O20" s="14"/>
      <c r="P20" s="30"/>
      <c r="S20" s="30"/>
      <c r="U20" s="14"/>
      <c r="V20" s="30"/>
    </row>
    <row r="21" spans="1:22" ht="12.75">
      <c r="A21" s="21" t="s">
        <v>13</v>
      </c>
      <c r="F21" s="22"/>
      <c r="G21" s="14"/>
      <c r="I21" s="14"/>
      <c r="M21" s="30"/>
      <c r="O21" s="14"/>
      <c r="P21" s="30"/>
      <c r="S21" s="30"/>
      <c r="U21" s="14"/>
      <c r="V21" s="30"/>
    </row>
    <row r="22" spans="1:22" ht="12.75">
      <c r="A22" s="1" t="s">
        <v>56</v>
      </c>
      <c r="F22" s="22"/>
      <c r="H22" s="22">
        <v>0</v>
      </c>
      <c r="J22" s="22">
        <v>0</v>
      </c>
      <c r="M22" s="30">
        <v>0</v>
      </c>
      <c r="P22" s="30">
        <v>0</v>
      </c>
      <c r="S22" s="30">
        <v>0</v>
      </c>
      <c r="V22" s="30">
        <v>0</v>
      </c>
    </row>
    <row r="23" spans="1:22" ht="12.75">
      <c r="A23" s="1" t="s">
        <v>7</v>
      </c>
      <c r="B23" s="19" t="s">
        <v>8</v>
      </c>
      <c r="F23" s="22"/>
      <c r="H23" s="22">
        <v>0</v>
      </c>
      <c r="J23" s="22">
        <v>0</v>
      </c>
      <c r="M23" s="30">
        <v>0</v>
      </c>
      <c r="P23" s="30">
        <v>0</v>
      </c>
      <c r="S23" s="30">
        <v>0</v>
      </c>
      <c r="V23" s="30">
        <v>0</v>
      </c>
    </row>
    <row r="24" spans="1:22" ht="12.75">
      <c r="A24" s="1" t="s">
        <v>50</v>
      </c>
      <c r="B24" s="19" t="s">
        <v>51</v>
      </c>
      <c r="D24" s="22">
        <v>4500</v>
      </c>
      <c r="F24" s="22"/>
      <c r="H24" s="22">
        <v>0</v>
      </c>
      <c r="J24" s="22">
        <v>0</v>
      </c>
      <c r="M24" s="30">
        <v>0</v>
      </c>
      <c r="P24" s="30">
        <v>0</v>
      </c>
      <c r="S24" s="30">
        <v>0</v>
      </c>
      <c r="V24" s="30">
        <v>0</v>
      </c>
    </row>
    <row r="25" spans="1:22" ht="12.75">
      <c r="A25" s="21" t="s">
        <v>2</v>
      </c>
      <c r="B25" s="10"/>
      <c r="C25" s="18">
        <v>355340.1</v>
      </c>
      <c r="D25" s="18">
        <f>D15+D18+D19+D22+D23+D24</f>
        <v>392115.9</v>
      </c>
      <c r="F25" s="22">
        <v>362566.6</v>
      </c>
      <c r="G25" s="21"/>
      <c r="H25" s="18" t="e">
        <f>H15+H18+H19+H22+H23+H24</f>
        <v>#REF!</v>
      </c>
      <c r="I25" s="21"/>
      <c r="J25" s="18" t="e">
        <f>J15+J18+J19+J22+J23+J24</f>
        <v>#REF!</v>
      </c>
      <c r="M25" s="8">
        <f>M15+M18+M19+M22+M23+M24</f>
        <v>395547.6</v>
      </c>
      <c r="N25" s="18"/>
      <c r="O25" s="21"/>
      <c r="P25" s="8">
        <f>P15+P18+P19+P22+P23+P24</f>
        <v>409413.9</v>
      </c>
      <c r="S25" s="8">
        <f>S15+S18+S19+S22+S23+S24</f>
        <v>380597.85</v>
      </c>
      <c r="T25" s="18"/>
      <c r="U25" s="21"/>
      <c r="V25" s="8">
        <f>V15+V18+V19+V22+V23+V24</f>
        <v>394947.75</v>
      </c>
    </row>
    <row r="26" spans="1:22" ht="12.75">
      <c r="A26" s="21"/>
      <c r="B26" s="10"/>
      <c r="C26" s="18"/>
      <c r="D26" s="18"/>
      <c r="F26" s="22"/>
      <c r="G26" s="21"/>
      <c r="H26" s="18"/>
      <c r="I26" s="21"/>
      <c r="J26" s="18"/>
      <c r="M26" s="8"/>
      <c r="N26" s="18"/>
      <c r="O26" s="21"/>
      <c r="P26" s="8"/>
      <c r="S26" s="8"/>
      <c r="T26" s="18"/>
      <c r="U26" s="21"/>
      <c r="V26" s="8"/>
    </row>
    <row r="27" spans="1:22" ht="12.75">
      <c r="A27" s="21" t="s">
        <v>85</v>
      </c>
      <c r="B27" s="10"/>
      <c r="C27" s="18"/>
      <c r="D27" s="18"/>
      <c r="F27" s="22"/>
      <c r="G27" s="21"/>
      <c r="H27" s="18"/>
      <c r="I27" s="21"/>
      <c r="J27" s="18"/>
      <c r="M27" s="8"/>
      <c r="N27" s="18"/>
      <c r="O27" s="21"/>
      <c r="P27" s="8"/>
      <c r="S27" s="8"/>
      <c r="T27" s="18"/>
      <c r="U27" s="21"/>
      <c r="V27" s="8"/>
    </row>
    <row r="28" spans="1:23" ht="12.75">
      <c r="A28" s="2" t="s">
        <v>39</v>
      </c>
      <c r="B28" s="6">
        <v>4100</v>
      </c>
      <c r="C28" s="26">
        <v>199495.296</v>
      </c>
      <c r="D28" s="22">
        <v>183456.25</v>
      </c>
      <c r="F28" s="22">
        <v>180162.864</v>
      </c>
      <c r="G28" s="1">
        <v>115</v>
      </c>
      <c r="H28" s="22" t="e">
        <f>#REF!*G28*G32</f>
        <v>#REF!</v>
      </c>
      <c r="I28" s="1">
        <v>120</v>
      </c>
      <c r="J28" s="22" t="e">
        <f>K28*I28*I32</f>
        <v>#REF!</v>
      </c>
      <c r="K28" s="4" t="e">
        <f>K8+K9+K10+K12</f>
        <v>#REF!</v>
      </c>
      <c r="L28" s="4">
        <f>L8+L9+L10+L12</f>
        <v>307</v>
      </c>
      <c r="M28" s="30">
        <f>L28*I28*I32</f>
        <v>216840.24</v>
      </c>
      <c r="O28" s="1">
        <v>120</v>
      </c>
      <c r="P28" s="30">
        <f>Q28*O28*O32</f>
        <v>216214.56000000003</v>
      </c>
      <c r="Q28" s="4">
        <f>Q8+Q9+Q10+Q12</f>
        <v>318</v>
      </c>
      <c r="R28" s="4">
        <f>R8+R9+R10+R12</f>
        <v>299</v>
      </c>
      <c r="S28" s="30">
        <f>R28*O28*O32</f>
        <v>203296.08000000002</v>
      </c>
      <c r="U28" s="1">
        <v>120</v>
      </c>
      <c r="V28" s="30">
        <f>W28*U28*U32</f>
        <v>211455.12000000002</v>
      </c>
      <c r="W28" s="4">
        <f>W8+W9+W10+W12</f>
        <v>311</v>
      </c>
    </row>
    <row r="29" spans="1:23" ht="12.75">
      <c r="A29" s="2" t="s">
        <v>77</v>
      </c>
      <c r="B29" s="6">
        <v>4101</v>
      </c>
      <c r="C29" s="26">
        <v>5347.776</v>
      </c>
      <c r="D29" s="22">
        <v>1406.25</v>
      </c>
      <c r="F29" s="22">
        <v>4711.68</v>
      </c>
      <c r="G29" s="1">
        <v>40</v>
      </c>
      <c r="H29" s="22" t="e">
        <f>#REF!*G29*G32</f>
        <v>#REF!</v>
      </c>
      <c r="I29" s="1">
        <v>45</v>
      </c>
      <c r="J29" s="22" t="e">
        <f>K11*I29*I32</f>
        <v>#REF!</v>
      </c>
      <c r="K29" s="4" t="e">
        <f>K11</f>
        <v>#REF!</v>
      </c>
      <c r="L29" s="4">
        <f>L11</f>
        <v>18</v>
      </c>
      <c r="M29" s="30">
        <f>L29*I29*I32</f>
        <v>4767.66</v>
      </c>
      <c r="O29" s="1">
        <v>45</v>
      </c>
      <c r="P29" s="30">
        <f>Q11*O29*O32</f>
        <v>4844.43</v>
      </c>
      <c r="Q29" s="4">
        <f>Q11</f>
        <v>19</v>
      </c>
      <c r="R29" s="4">
        <f>R11</f>
        <v>11</v>
      </c>
      <c r="S29" s="30">
        <f>R29*O29*O32</f>
        <v>2804.67</v>
      </c>
      <c r="U29" s="1">
        <v>45</v>
      </c>
      <c r="V29" s="30">
        <f>W11*U29*U32</f>
        <v>2804.67</v>
      </c>
      <c r="W29" s="4">
        <f>W11</f>
        <v>11</v>
      </c>
    </row>
    <row r="30" spans="1:23" ht="12.75">
      <c r="A30" s="2" t="s">
        <v>24</v>
      </c>
      <c r="B30" s="6">
        <v>4102</v>
      </c>
      <c r="C30" s="26"/>
      <c r="D30" s="22">
        <v>8343.75</v>
      </c>
      <c r="F30" s="22"/>
      <c r="G30" s="1">
        <v>40</v>
      </c>
      <c r="H30" s="22" t="e">
        <f>#REF!*G30*G32</f>
        <v>#REF!</v>
      </c>
      <c r="I30" s="1">
        <v>45</v>
      </c>
      <c r="J30" s="22" t="e">
        <f>K30*I30*I32</f>
        <v>#REF!</v>
      </c>
      <c r="K30" s="4" t="e">
        <f>K16</f>
        <v>#REF!</v>
      </c>
      <c r="L30" s="4">
        <f>L16</f>
        <v>63</v>
      </c>
      <c r="M30" s="30">
        <f>L30*I30*(I32+5)</f>
        <v>30861.809999999998</v>
      </c>
      <c r="O30" s="1">
        <v>45</v>
      </c>
      <c r="P30" s="30">
        <f>Q30*O30*O32</f>
        <v>16828.02</v>
      </c>
      <c r="Q30" s="4">
        <f>Q16</f>
        <v>66</v>
      </c>
      <c r="R30" s="4">
        <f>R16</f>
        <v>44</v>
      </c>
      <c r="S30" s="30">
        <f>R30*O30*(O32+5)</f>
        <v>21118.68</v>
      </c>
      <c r="U30" s="1">
        <v>45</v>
      </c>
      <c r="V30" s="30">
        <f>W30*U30*U32</f>
        <v>11728.62</v>
      </c>
      <c r="W30" s="4">
        <f>W16</f>
        <v>46</v>
      </c>
    </row>
    <row r="31" spans="1:23" ht="12.75">
      <c r="A31" s="2" t="s">
        <v>66</v>
      </c>
      <c r="B31" s="6">
        <v>4103</v>
      </c>
      <c r="C31" s="26"/>
      <c r="D31" s="22">
        <v>472.25</v>
      </c>
      <c r="F31" s="22"/>
      <c r="G31" s="1">
        <v>25</v>
      </c>
      <c r="H31" s="22" t="e">
        <f>#REF!*G31*G32</f>
        <v>#REF!</v>
      </c>
      <c r="I31" s="1">
        <v>30</v>
      </c>
      <c r="J31" s="22" t="e">
        <f>K31*I31*I32</f>
        <v>#REF!</v>
      </c>
      <c r="K31" s="4" t="e">
        <f>K17</f>
        <v>#REF!</v>
      </c>
      <c r="L31" s="4">
        <f>L17</f>
        <v>4</v>
      </c>
      <c r="M31" s="30">
        <f>L31*I31*(I32+5)</f>
        <v>1306.32</v>
      </c>
      <c r="O31" s="1">
        <v>30</v>
      </c>
      <c r="P31" s="30">
        <f>Q31*O31*O32</f>
        <v>679.9200000000001</v>
      </c>
      <c r="Q31" s="4">
        <f>Q17</f>
        <v>4</v>
      </c>
      <c r="R31" s="4">
        <f>R17</f>
        <v>3</v>
      </c>
      <c r="S31" s="30">
        <f>R31*O31*(O32+5)</f>
        <v>959.94</v>
      </c>
      <c r="U31" s="1">
        <v>30</v>
      </c>
      <c r="V31" s="30">
        <f>W31*U31*U32</f>
        <v>509.94000000000005</v>
      </c>
      <c r="W31" s="4">
        <f>W17</f>
        <v>3</v>
      </c>
    </row>
    <row r="32" spans="1:23" ht="12.75">
      <c r="A32" s="1" t="s">
        <v>17</v>
      </c>
      <c r="F32" s="22"/>
      <c r="G32" s="1">
        <v>6.135</v>
      </c>
      <c r="I32" s="1">
        <v>5.886</v>
      </c>
      <c r="K32" s="4"/>
      <c r="M32" s="30"/>
      <c r="O32" s="1">
        <v>5.666</v>
      </c>
      <c r="P32" s="30"/>
      <c r="Q32" s="4"/>
      <c r="S32" s="30"/>
      <c r="U32" s="1">
        <v>5.666</v>
      </c>
      <c r="V32" s="30"/>
      <c r="W32" s="4"/>
    </row>
    <row r="33" spans="1:23" ht="12.75">
      <c r="A33" s="1" t="s">
        <v>60</v>
      </c>
      <c r="F33" s="22"/>
      <c r="G33" s="14">
        <v>0.04</v>
      </c>
      <c r="H33" s="22" t="e">
        <f>-(H28+H29)*G33</f>
        <v>#REF!</v>
      </c>
      <c r="I33" s="14">
        <v>0.04</v>
      </c>
      <c r="J33" s="22" t="e">
        <f>-(J28+J29)*I33</f>
        <v>#REF!</v>
      </c>
      <c r="K33" s="4"/>
      <c r="M33" s="30">
        <f>-(M28+M29)*O33</f>
        <v>-8864.316</v>
      </c>
      <c r="O33" s="14">
        <v>0.04</v>
      </c>
      <c r="P33" s="30">
        <f>-(P28+P29)*O33</f>
        <v>-8842.359600000002</v>
      </c>
      <c r="Q33" s="4"/>
      <c r="S33" s="30">
        <f>-(S28+S29)*U33</f>
        <v>-8244.03</v>
      </c>
      <c r="U33" s="14">
        <v>0.04</v>
      </c>
      <c r="V33" s="30">
        <f>-(V28+V29)*U33</f>
        <v>-8570.3916</v>
      </c>
      <c r="W33" s="4"/>
    </row>
    <row r="34" spans="1:22" ht="12.75">
      <c r="A34" s="1" t="s">
        <v>12</v>
      </c>
      <c r="C34" s="18">
        <f>SUM(C28:C33)</f>
        <v>204843.07200000001</v>
      </c>
      <c r="D34" s="18">
        <f>SUM(D28:D33)</f>
        <v>193678.5</v>
      </c>
      <c r="F34" s="18">
        <f>SUM(F28:F33)</f>
        <v>184874.544</v>
      </c>
      <c r="H34" s="18" t="e">
        <f>SUM(H28:H33)</f>
        <v>#REF!</v>
      </c>
      <c r="I34" s="21"/>
      <c r="J34" s="18" t="e">
        <f>SUM(J28:J33)</f>
        <v>#REF!</v>
      </c>
      <c r="M34" s="8">
        <f>SUM(M28:M33)</f>
        <v>244911.71399999998</v>
      </c>
      <c r="N34" s="18">
        <f>SUM(N28:N33)</f>
        <v>0</v>
      </c>
      <c r="O34" s="21"/>
      <c r="P34" s="8">
        <f>SUM(P28:P33)</f>
        <v>229724.57040000003</v>
      </c>
      <c r="S34" s="8">
        <f>SUM(S28:S33)</f>
        <v>219935.34000000003</v>
      </c>
      <c r="T34" s="18">
        <f>SUM(T28:T33)</f>
        <v>0</v>
      </c>
      <c r="U34" s="21"/>
      <c r="V34" s="8">
        <f>SUM(V28:V33)</f>
        <v>217927.95840000003</v>
      </c>
    </row>
    <row r="35" spans="1:23" ht="12.75">
      <c r="A35" s="20" t="s">
        <v>55</v>
      </c>
      <c r="B35" s="9"/>
      <c r="C35" s="17">
        <f>C25-C34</f>
        <v>150497.02799999996</v>
      </c>
      <c r="D35" s="17">
        <f>D25-D34</f>
        <v>198437.40000000002</v>
      </c>
      <c r="E35" s="20"/>
      <c r="F35" s="17"/>
      <c r="G35" s="20"/>
      <c r="H35" s="17" t="e">
        <f>H25-H34</f>
        <v>#REF!</v>
      </c>
      <c r="I35" s="20"/>
      <c r="J35" s="17" t="e">
        <f>J25-J34</f>
        <v>#REF!</v>
      </c>
      <c r="K35" s="20"/>
      <c r="L35" s="20"/>
      <c r="M35" s="7">
        <f>M25-M34</f>
        <v>150635.886</v>
      </c>
      <c r="N35" s="17"/>
      <c r="O35" s="20"/>
      <c r="P35" s="7">
        <f>P25-P34</f>
        <v>179689.3296</v>
      </c>
      <c r="Q35" s="20"/>
      <c r="R35" s="20"/>
      <c r="S35" s="7">
        <f>S25-S34</f>
        <v>160662.50999999995</v>
      </c>
      <c r="T35" s="17"/>
      <c r="U35" s="20"/>
      <c r="V35" s="7">
        <f>V25-V34</f>
        <v>177019.79159999997</v>
      </c>
      <c r="W35" s="20"/>
    </row>
    <row r="36" spans="1:23" ht="12.75">
      <c r="A36" s="20" t="s">
        <v>6</v>
      </c>
      <c r="B36" s="9"/>
      <c r="C36" s="17">
        <f>C35/E15</f>
        <v>465.9350712074302</v>
      </c>
      <c r="D36" s="17">
        <f>D35/E15</f>
        <v>614.3572755417957</v>
      </c>
      <c r="E36" s="20"/>
      <c r="F36" s="17"/>
      <c r="G36" s="20"/>
      <c r="H36" s="17" t="e">
        <f>H35/#REF!</f>
        <v>#REF!</v>
      </c>
      <c r="I36" s="20"/>
      <c r="J36" s="17" t="e">
        <f>J35/K15</f>
        <v>#REF!</v>
      </c>
      <c r="K36" s="20"/>
      <c r="L36" s="20"/>
      <c r="M36" s="7">
        <f>M35/L15</f>
        <v>439.17167930029154</v>
      </c>
      <c r="N36" s="17"/>
      <c r="O36" s="20"/>
      <c r="P36" s="7">
        <f>P35/Q15</f>
        <v>512.694960054782</v>
      </c>
      <c r="Q36" s="20"/>
      <c r="R36" s="20"/>
      <c r="S36" s="7">
        <f>S35/R15</f>
        <v>483.9232228915661</v>
      </c>
      <c r="T36" s="17"/>
      <c r="U36" s="20"/>
      <c r="V36" s="7">
        <f>V35/W15</f>
        <v>505.0781545309289</v>
      </c>
      <c r="W36" s="20"/>
    </row>
    <row r="37" spans="6:22" ht="12.75">
      <c r="F37" s="22"/>
      <c r="M37" s="30"/>
      <c r="P37" s="30"/>
      <c r="S37" s="30"/>
      <c r="V37" s="30"/>
    </row>
    <row r="38" spans="1:22" ht="12.75" hidden="1">
      <c r="A38" s="1" t="s">
        <v>0</v>
      </c>
      <c r="B38" s="19" t="s">
        <v>1</v>
      </c>
      <c r="D38" s="22">
        <v>1760</v>
      </c>
      <c r="F38" s="22"/>
      <c r="H38" s="22">
        <v>0</v>
      </c>
      <c r="J38" s="22">
        <v>0</v>
      </c>
      <c r="M38" s="30">
        <v>0</v>
      </c>
      <c r="P38" s="30">
        <v>0</v>
      </c>
      <c r="S38" s="30">
        <v>0</v>
      </c>
      <c r="V38" s="30">
        <v>0</v>
      </c>
    </row>
    <row r="39" spans="1:22" ht="12.75">
      <c r="A39" s="21" t="s">
        <v>45</v>
      </c>
      <c r="F39" s="22"/>
      <c r="M39" s="30"/>
      <c r="P39" s="30"/>
      <c r="S39" s="30"/>
      <c r="V39" s="30"/>
    </row>
    <row r="40" spans="1:22" ht="12.75">
      <c r="A40" s="1" t="s">
        <v>83</v>
      </c>
      <c r="B40" s="19" t="s">
        <v>84</v>
      </c>
      <c r="C40" s="22">
        <v>0</v>
      </c>
      <c r="D40" s="22">
        <v>6720.5</v>
      </c>
      <c r="F40" s="22"/>
      <c r="H40" s="22">
        <v>10000</v>
      </c>
      <c r="J40" s="22">
        <v>10000</v>
      </c>
      <c r="M40" s="30">
        <v>10000</v>
      </c>
      <c r="P40" s="30">
        <v>10000</v>
      </c>
      <c r="S40" s="30">
        <v>10500</v>
      </c>
      <c r="V40" s="30">
        <v>10500</v>
      </c>
    </row>
    <row r="41" spans="1:22" ht="12.75">
      <c r="A41" s="2" t="s">
        <v>32</v>
      </c>
      <c r="B41" s="6">
        <v>6700</v>
      </c>
      <c r="C41" s="26">
        <v>0</v>
      </c>
      <c r="D41" s="26">
        <v>0</v>
      </c>
      <c r="E41" s="2"/>
      <c r="F41" s="26">
        <v>12000</v>
      </c>
      <c r="G41" s="2"/>
      <c r="H41" s="26">
        <v>12000</v>
      </c>
      <c r="J41" s="22">
        <v>6000</v>
      </c>
      <c r="M41" s="5">
        <v>6000</v>
      </c>
      <c r="N41" s="26"/>
      <c r="P41" s="30">
        <v>6000</v>
      </c>
      <c r="S41" s="5">
        <v>3000</v>
      </c>
      <c r="T41" s="26"/>
      <c r="V41" s="30">
        <v>6000</v>
      </c>
    </row>
    <row r="42" spans="1:22" ht="12.75">
      <c r="A42" s="2" t="s">
        <v>73</v>
      </c>
      <c r="B42" s="6">
        <v>6701</v>
      </c>
      <c r="C42" s="26">
        <v>12000</v>
      </c>
      <c r="D42" s="22">
        <v>28406.25</v>
      </c>
      <c r="E42" s="2"/>
      <c r="F42" s="26">
        <v>12000</v>
      </c>
      <c r="G42" s="26"/>
      <c r="H42" s="26">
        <v>12000</v>
      </c>
      <c r="J42" s="22">
        <v>12000</v>
      </c>
      <c r="M42" s="5">
        <v>12000</v>
      </c>
      <c r="P42" s="30">
        <v>12000</v>
      </c>
      <c r="S42" s="5">
        <v>30000</v>
      </c>
      <c r="V42" s="30">
        <v>8000</v>
      </c>
    </row>
    <row r="43" spans="1:22" ht="12.75">
      <c r="A43" s="2" t="s">
        <v>23</v>
      </c>
      <c r="B43" s="6">
        <v>6703</v>
      </c>
      <c r="C43" s="26">
        <v>15000</v>
      </c>
      <c r="D43" s="22">
        <v>15250</v>
      </c>
      <c r="E43" s="2"/>
      <c r="F43" s="26">
        <v>15000</v>
      </c>
      <c r="G43" s="26"/>
      <c r="H43" s="26">
        <v>15000</v>
      </c>
      <c r="J43" s="22">
        <v>20000</v>
      </c>
      <c r="M43" s="5">
        <v>20000</v>
      </c>
      <c r="P43" s="30">
        <v>20000</v>
      </c>
      <c r="S43" s="5">
        <v>23000</v>
      </c>
      <c r="V43" s="30">
        <v>23000</v>
      </c>
    </row>
    <row r="44" spans="1:22" ht="12.75">
      <c r="A44" s="2" t="s">
        <v>65</v>
      </c>
      <c r="B44" s="6">
        <v>6704</v>
      </c>
      <c r="C44" s="26"/>
      <c r="D44" s="22">
        <v>1063</v>
      </c>
      <c r="E44" s="2"/>
      <c r="F44" s="26"/>
      <c r="G44" s="26"/>
      <c r="H44" s="26"/>
      <c r="M44" s="5"/>
      <c r="N44" s="26"/>
      <c r="P44" s="30"/>
      <c r="S44" s="5"/>
      <c r="T44" s="26"/>
      <c r="V44" s="30"/>
    </row>
    <row r="45" spans="1:22" ht="12.75" hidden="1">
      <c r="A45" s="2" t="s">
        <v>16</v>
      </c>
      <c r="B45" s="6">
        <v>6707</v>
      </c>
      <c r="C45" s="26"/>
      <c r="D45" s="22">
        <v>6828.13</v>
      </c>
      <c r="E45" s="2"/>
      <c r="F45" s="26"/>
      <c r="G45" s="26"/>
      <c r="H45" s="26"/>
      <c r="M45" s="5"/>
      <c r="N45" s="26"/>
      <c r="P45" s="30"/>
      <c r="S45" s="5"/>
      <c r="T45" s="26"/>
      <c r="V45" s="30"/>
    </row>
    <row r="46" spans="1:22" ht="12.75">
      <c r="A46" s="2" t="s">
        <v>59</v>
      </c>
      <c r="B46" s="6">
        <v>6708</v>
      </c>
      <c r="C46" s="26">
        <v>60000</v>
      </c>
      <c r="D46" s="22">
        <v>19500.35</v>
      </c>
      <c r="E46" s="2"/>
      <c r="F46" s="26">
        <v>60000</v>
      </c>
      <c r="G46" s="26"/>
      <c r="H46" s="26">
        <v>50000</v>
      </c>
      <c r="J46" s="22">
        <v>40000</v>
      </c>
      <c r="M46" s="5">
        <v>40000</v>
      </c>
      <c r="N46" s="26"/>
      <c r="P46" s="30">
        <v>40000</v>
      </c>
      <c r="S46" s="5">
        <v>35000</v>
      </c>
      <c r="T46" s="26"/>
      <c r="V46" s="30">
        <v>40000</v>
      </c>
    </row>
    <row r="47" spans="1:22" ht="12.75">
      <c r="A47" s="2" t="s">
        <v>11</v>
      </c>
      <c r="B47" s="6">
        <v>6800</v>
      </c>
      <c r="C47" s="26">
        <v>1000</v>
      </c>
      <c r="D47" s="22">
        <v>175.26</v>
      </c>
      <c r="E47" s="2"/>
      <c r="F47" s="26">
        <v>1000</v>
      </c>
      <c r="G47" s="2"/>
      <c r="H47" s="26">
        <v>1000</v>
      </c>
      <c r="J47" s="22">
        <v>1000</v>
      </c>
      <c r="M47" s="5">
        <v>1000</v>
      </c>
      <c r="N47" s="26"/>
      <c r="P47" s="30">
        <v>1000</v>
      </c>
      <c r="S47" s="5">
        <v>1000</v>
      </c>
      <c r="T47" s="26"/>
      <c r="V47" s="30">
        <v>1000</v>
      </c>
    </row>
    <row r="48" spans="1:22" ht="12.75">
      <c r="A48" s="2" t="s">
        <v>54</v>
      </c>
      <c r="B48" s="6">
        <v>6801</v>
      </c>
      <c r="C48" s="26">
        <v>3500</v>
      </c>
      <c r="D48" s="26">
        <v>0</v>
      </c>
      <c r="E48" s="2"/>
      <c r="F48" s="26">
        <v>500</v>
      </c>
      <c r="G48" s="26"/>
      <c r="H48" s="26">
        <v>500</v>
      </c>
      <c r="J48" s="22">
        <v>500</v>
      </c>
      <c r="M48" s="5">
        <v>500</v>
      </c>
      <c r="N48" s="26"/>
      <c r="P48" s="30">
        <v>500</v>
      </c>
      <c r="S48" s="5">
        <v>500</v>
      </c>
      <c r="T48" s="26"/>
      <c r="V48" s="30">
        <v>500</v>
      </c>
    </row>
    <row r="49" spans="1:22" ht="12.75">
      <c r="A49" s="2" t="s">
        <v>5</v>
      </c>
      <c r="B49" s="6">
        <v>6860</v>
      </c>
      <c r="C49" s="26">
        <v>15000</v>
      </c>
      <c r="D49" s="22">
        <v>21048.48</v>
      </c>
      <c r="E49" s="2"/>
      <c r="F49" s="26">
        <v>15000</v>
      </c>
      <c r="G49" s="26"/>
      <c r="H49" s="26">
        <v>25000</v>
      </c>
      <c r="J49" s="22">
        <v>20000</v>
      </c>
      <c r="M49" s="5">
        <v>20000</v>
      </c>
      <c r="N49" s="26"/>
      <c r="P49" s="30">
        <v>20000</v>
      </c>
      <c r="S49" s="5">
        <v>10000</v>
      </c>
      <c r="T49" s="26"/>
      <c r="V49" s="30">
        <v>25000</v>
      </c>
    </row>
    <row r="50" spans="1:22" ht="12.75">
      <c r="A50" s="2" t="s">
        <v>49</v>
      </c>
      <c r="B50" s="6">
        <v>6861</v>
      </c>
      <c r="C50" s="26">
        <v>12000</v>
      </c>
      <c r="D50" s="26">
        <v>0</v>
      </c>
      <c r="E50" s="2"/>
      <c r="F50" s="26">
        <v>12000</v>
      </c>
      <c r="G50" s="2"/>
      <c r="H50" s="26">
        <v>12000</v>
      </c>
      <c r="J50" s="22">
        <v>12000</v>
      </c>
      <c r="M50" s="5">
        <v>15000</v>
      </c>
      <c r="N50" s="26"/>
      <c r="P50" s="30">
        <v>12000</v>
      </c>
      <c r="S50" s="5">
        <v>12000</v>
      </c>
      <c r="T50" s="26"/>
      <c r="V50" s="30">
        <v>12000</v>
      </c>
    </row>
    <row r="51" spans="1:22" ht="12.75">
      <c r="A51" s="2" t="s">
        <v>89</v>
      </c>
      <c r="B51" s="6">
        <v>6940</v>
      </c>
      <c r="C51" s="26">
        <v>500</v>
      </c>
      <c r="D51" s="22">
        <v>1002.04</v>
      </c>
      <c r="E51" s="2"/>
      <c r="F51" s="26">
        <v>3500</v>
      </c>
      <c r="G51" s="26"/>
      <c r="H51" s="26">
        <v>3500</v>
      </c>
      <c r="J51" s="22">
        <v>500</v>
      </c>
      <c r="M51" s="5">
        <v>500</v>
      </c>
      <c r="N51" s="26"/>
      <c r="P51" s="30">
        <v>500</v>
      </c>
      <c r="S51" s="5">
        <v>500</v>
      </c>
      <c r="T51" s="26"/>
      <c r="V51" s="30">
        <v>500</v>
      </c>
    </row>
    <row r="52" spans="1:22" ht="12.75">
      <c r="A52" s="2" t="s">
        <v>43</v>
      </c>
      <c r="B52" s="6">
        <v>7312</v>
      </c>
      <c r="C52" s="26">
        <v>3000</v>
      </c>
      <c r="D52" s="22">
        <v>345</v>
      </c>
      <c r="E52" s="2"/>
      <c r="F52" s="26">
        <v>3000</v>
      </c>
      <c r="G52" s="2"/>
      <c r="H52" s="26">
        <v>3000</v>
      </c>
      <c r="J52" s="22">
        <v>3000</v>
      </c>
      <c r="M52" s="5">
        <v>3000</v>
      </c>
      <c r="N52" s="26"/>
      <c r="P52" s="30">
        <v>3000</v>
      </c>
      <c r="S52" s="5">
        <v>30000</v>
      </c>
      <c r="T52" s="26"/>
      <c r="V52" s="30">
        <v>3000</v>
      </c>
    </row>
    <row r="53" spans="1:22" ht="12.75">
      <c r="A53" s="2" t="s">
        <v>82</v>
      </c>
      <c r="B53" s="6"/>
      <c r="C53" s="26"/>
      <c r="E53" s="2"/>
      <c r="F53" s="26"/>
      <c r="G53" s="2"/>
      <c r="H53" s="26"/>
      <c r="J53" s="22">
        <v>25000</v>
      </c>
      <c r="M53" s="5">
        <v>25000</v>
      </c>
      <c r="N53" s="26"/>
      <c r="P53" s="30">
        <v>25000</v>
      </c>
      <c r="S53" s="5">
        <v>15000</v>
      </c>
      <c r="T53" s="26"/>
      <c r="V53" s="30">
        <v>30000</v>
      </c>
    </row>
    <row r="54" spans="1:22" ht="12.75">
      <c r="A54" s="2" t="s">
        <v>28</v>
      </c>
      <c r="B54" s="6">
        <v>7320</v>
      </c>
      <c r="C54" s="26">
        <v>10000</v>
      </c>
      <c r="D54" s="22">
        <v>6449.23</v>
      </c>
      <c r="E54" s="2"/>
      <c r="F54" s="26">
        <v>10000</v>
      </c>
      <c r="G54" s="26"/>
      <c r="H54" s="26">
        <v>10000</v>
      </c>
      <c r="J54" s="22">
        <v>10000</v>
      </c>
      <c r="M54" s="5">
        <v>10000</v>
      </c>
      <c r="N54" s="26"/>
      <c r="P54" s="30">
        <v>10000</v>
      </c>
      <c r="S54" s="5">
        <v>5000</v>
      </c>
      <c r="T54" s="26"/>
      <c r="V54" s="30">
        <v>10000</v>
      </c>
    </row>
    <row r="55" spans="1:22" ht="12.75">
      <c r="A55" s="2" t="s">
        <v>71</v>
      </c>
      <c r="B55" s="6">
        <v>7381</v>
      </c>
      <c r="C55" s="26">
        <v>4000</v>
      </c>
      <c r="D55" s="26">
        <v>0</v>
      </c>
      <c r="E55" s="2"/>
      <c r="F55" s="26">
        <v>10000</v>
      </c>
      <c r="G55" s="2"/>
      <c r="H55" s="26">
        <v>10000</v>
      </c>
      <c r="J55" s="22">
        <v>5000</v>
      </c>
      <c r="M55" s="5">
        <v>5000</v>
      </c>
      <c r="N55" s="26"/>
      <c r="P55" s="30">
        <v>5000</v>
      </c>
      <c r="S55" s="5">
        <v>5000</v>
      </c>
      <c r="T55" s="26"/>
      <c r="V55" s="30">
        <v>5000</v>
      </c>
    </row>
    <row r="56" spans="1:22" ht="12.75">
      <c r="A56" s="2" t="s">
        <v>21</v>
      </c>
      <c r="B56" s="6">
        <v>7420</v>
      </c>
      <c r="C56" s="26">
        <v>1500</v>
      </c>
      <c r="D56" s="22">
        <v>1210</v>
      </c>
      <c r="E56" s="2"/>
      <c r="F56" s="26">
        <v>1500</v>
      </c>
      <c r="G56" s="2"/>
      <c r="H56" s="26">
        <v>1500</v>
      </c>
      <c r="J56" s="22">
        <v>500</v>
      </c>
      <c r="M56" s="5">
        <v>500</v>
      </c>
      <c r="N56" s="26"/>
      <c r="P56" s="30">
        <v>500</v>
      </c>
      <c r="S56" s="5">
        <v>500</v>
      </c>
      <c r="T56" s="26"/>
      <c r="V56" s="30">
        <v>500</v>
      </c>
    </row>
    <row r="57" spans="1:22" ht="12.75">
      <c r="A57" s="2" t="s">
        <v>63</v>
      </c>
      <c r="B57" s="6">
        <v>7710</v>
      </c>
      <c r="C57" s="26">
        <v>5000</v>
      </c>
      <c r="D57" s="22">
        <v>4700</v>
      </c>
      <c r="E57" s="2"/>
      <c r="F57" s="26">
        <v>5000</v>
      </c>
      <c r="G57" s="2"/>
      <c r="H57" s="26">
        <v>5000</v>
      </c>
      <c r="J57" s="22">
        <v>10000</v>
      </c>
      <c r="M57" s="5">
        <v>10000</v>
      </c>
      <c r="N57" s="26"/>
      <c r="P57" s="30">
        <v>10000</v>
      </c>
      <c r="S57" s="5">
        <v>5000</v>
      </c>
      <c r="T57" s="26"/>
      <c r="V57" s="30">
        <v>10000</v>
      </c>
    </row>
    <row r="58" spans="1:22" ht="12.75">
      <c r="A58" s="2" t="s">
        <v>14</v>
      </c>
      <c r="B58" s="6">
        <v>7720</v>
      </c>
      <c r="C58" s="26">
        <v>9000</v>
      </c>
      <c r="D58" s="22">
        <v>11112.78</v>
      </c>
      <c r="E58" s="2"/>
      <c r="F58" s="26">
        <v>9000</v>
      </c>
      <c r="G58" s="2"/>
      <c r="H58" s="26">
        <v>9000</v>
      </c>
      <c r="J58" s="22">
        <v>0</v>
      </c>
      <c r="M58" s="5">
        <v>0</v>
      </c>
      <c r="N58" s="26"/>
      <c r="P58" s="30">
        <v>0</v>
      </c>
      <c r="S58" s="5">
        <v>0</v>
      </c>
      <c r="T58" s="26"/>
      <c r="V58" s="30">
        <v>0</v>
      </c>
    </row>
    <row r="59" spans="1:22" ht="12.75">
      <c r="A59" s="31" t="s">
        <v>57</v>
      </c>
      <c r="C59" s="18">
        <f>SUM(C38:C58)</f>
        <v>151500</v>
      </c>
      <c r="D59" s="18">
        <f>SUM(D38:D58)</f>
        <v>125571.02</v>
      </c>
      <c r="F59" s="18">
        <f>SUM(F38:F58)</f>
        <v>169500</v>
      </c>
      <c r="H59" s="18">
        <f>SUM(H38:H58)</f>
        <v>179500</v>
      </c>
      <c r="I59" s="21"/>
      <c r="J59" s="18">
        <f>SUM(J38:J58)</f>
        <v>175500</v>
      </c>
      <c r="M59" s="8">
        <f>SUM(M38:M58)</f>
        <v>178500</v>
      </c>
      <c r="N59" s="18">
        <f>SUM(N38:N58)</f>
        <v>0</v>
      </c>
      <c r="O59" s="21"/>
      <c r="P59" s="8">
        <f>SUM(P38:P58)</f>
        <v>175500</v>
      </c>
      <c r="S59" s="8">
        <f>SUM(S38:S58)</f>
        <v>186000</v>
      </c>
      <c r="T59" s="18">
        <f>SUM(T38:T58)</f>
        <v>0</v>
      </c>
      <c r="U59" s="21"/>
      <c r="V59" s="8">
        <f>SUM(V38:V58)</f>
        <v>185000</v>
      </c>
    </row>
    <row r="60" spans="1:22" ht="25.5">
      <c r="A60" s="2" t="s">
        <v>9</v>
      </c>
      <c r="C60" s="18"/>
      <c r="D60" s="18"/>
      <c r="F60" s="18"/>
      <c r="H60" s="18"/>
      <c r="I60" s="21"/>
      <c r="J60" s="18"/>
      <c r="M60" s="30">
        <v>10000</v>
      </c>
      <c r="N60" s="18"/>
      <c r="O60" s="21"/>
      <c r="P60" s="8"/>
      <c r="S60" s="30">
        <v>10000</v>
      </c>
      <c r="T60" s="18"/>
      <c r="U60" s="21"/>
      <c r="V60" s="8"/>
    </row>
    <row r="61" spans="1:23" ht="12.75">
      <c r="A61" s="31" t="s">
        <v>52</v>
      </c>
      <c r="B61" s="10"/>
      <c r="C61" s="18">
        <f>C34+C59</f>
        <v>356343.07200000004</v>
      </c>
      <c r="D61" s="18">
        <f>D34+D59</f>
        <v>319249.52</v>
      </c>
      <c r="E61" s="21"/>
      <c r="F61" s="18">
        <f>F34+F59</f>
        <v>354374.544</v>
      </c>
      <c r="G61" s="21"/>
      <c r="H61" s="18" t="e">
        <f>H34+H59</f>
        <v>#REF!</v>
      </c>
      <c r="I61" s="21"/>
      <c r="J61" s="18" t="e">
        <f>J34+J59</f>
        <v>#REF!</v>
      </c>
      <c r="K61" s="21"/>
      <c r="L61" s="21"/>
      <c r="M61" s="8">
        <f>M34+M59+M60</f>
        <v>433411.714</v>
      </c>
      <c r="N61" s="18">
        <f>N59+N34</f>
        <v>0</v>
      </c>
      <c r="O61" s="21"/>
      <c r="P61" s="8">
        <f>P34+P59</f>
        <v>405224.5704</v>
      </c>
      <c r="Q61" s="21"/>
      <c r="R61" s="21"/>
      <c r="S61" s="8">
        <f>S34+S59+S60</f>
        <v>415935.34</v>
      </c>
      <c r="T61" s="18">
        <f>T59+T34</f>
        <v>0</v>
      </c>
      <c r="U61" s="21"/>
      <c r="V61" s="8">
        <f>V34+V59</f>
        <v>402927.9584</v>
      </c>
      <c r="W61" s="21"/>
    </row>
    <row r="62" spans="1:23" ht="12.75">
      <c r="A62" s="21" t="s">
        <v>3</v>
      </c>
      <c r="B62" s="10"/>
      <c r="C62" s="18">
        <f>C25-C61</f>
        <v>-1002.972000000067</v>
      </c>
      <c r="D62" s="18">
        <f>D25-D61</f>
        <v>72866.38</v>
      </c>
      <c r="E62" s="21"/>
      <c r="F62" s="18">
        <f>F25-F61</f>
        <v>8192.055999999982</v>
      </c>
      <c r="G62" s="21"/>
      <c r="H62" s="18" t="e">
        <f>H25-H61</f>
        <v>#REF!</v>
      </c>
      <c r="I62" s="21"/>
      <c r="J62" s="18" t="e">
        <f>J25-J61</f>
        <v>#REF!</v>
      </c>
      <c r="K62" s="21"/>
      <c r="L62" s="21"/>
      <c r="M62" s="8">
        <f>M25-M61</f>
        <v>-37864.114</v>
      </c>
      <c r="N62" s="18"/>
      <c r="O62" s="21"/>
      <c r="P62" s="8">
        <f>P25-P61</f>
        <v>4189.329599999997</v>
      </c>
      <c r="Q62" s="21"/>
      <c r="R62" s="21"/>
      <c r="S62" s="8">
        <f>S25-S61</f>
        <v>-35337.49000000005</v>
      </c>
      <c r="T62" s="18"/>
      <c r="U62" s="21"/>
      <c r="V62" s="8">
        <f>V25-V61</f>
        <v>-7980.208400000003</v>
      </c>
      <c r="W62" s="21"/>
    </row>
    <row r="63" spans="1:22" ht="12.75">
      <c r="A63" s="1" t="s">
        <v>46</v>
      </c>
      <c r="B63" s="19" t="s">
        <v>47</v>
      </c>
      <c r="D63" s="22">
        <v>1460.36</v>
      </c>
      <c r="F63" s="22"/>
      <c r="H63" s="22">
        <v>1600</v>
      </c>
      <c r="J63" s="22">
        <v>1600</v>
      </c>
      <c r="M63" s="30">
        <v>1600</v>
      </c>
      <c r="P63" s="30">
        <v>1600</v>
      </c>
      <c r="S63" s="30">
        <v>1600</v>
      </c>
      <c r="V63" s="30">
        <v>1600</v>
      </c>
    </row>
    <row r="64" spans="1:22" ht="12.75">
      <c r="A64" s="1" t="s">
        <v>86</v>
      </c>
      <c r="B64" s="19" t="s">
        <v>87</v>
      </c>
      <c r="D64" s="22">
        <v>-20520.98</v>
      </c>
      <c r="F64" s="22"/>
      <c r="H64" s="22">
        <v>-20000</v>
      </c>
      <c r="J64" s="22">
        <v>-20000</v>
      </c>
      <c r="M64" s="30">
        <v>-20000</v>
      </c>
      <c r="P64" s="30">
        <v>-20000</v>
      </c>
      <c r="S64" s="30">
        <v>-20000</v>
      </c>
      <c r="V64" s="30">
        <v>-20000</v>
      </c>
    </row>
    <row r="65" spans="1:22" ht="12.75" hidden="1">
      <c r="A65" s="1" t="s">
        <v>40</v>
      </c>
      <c r="B65" s="19" t="s">
        <v>26</v>
      </c>
      <c r="D65" s="22">
        <v>0</v>
      </c>
      <c r="F65" s="22"/>
      <c r="H65" s="22">
        <v>0</v>
      </c>
      <c r="J65" s="22">
        <v>0</v>
      </c>
      <c r="M65" s="30">
        <v>0</v>
      </c>
      <c r="P65" s="30">
        <v>0</v>
      </c>
      <c r="S65" s="30">
        <v>0</v>
      </c>
      <c r="V65" s="30">
        <v>0</v>
      </c>
    </row>
    <row r="66" spans="1:22" ht="12.75" hidden="1">
      <c r="A66" s="1" t="s">
        <v>78</v>
      </c>
      <c r="B66" s="19" t="s">
        <v>80</v>
      </c>
      <c r="D66" s="22">
        <v>39675.05</v>
      </c>
      <c r="F66" s="22"/>
      <c r="H66" s="22">
        <v>0</v>
      </c>
      <c r="J66" s="22">
        <v>0</v>
      </c>
      <c r="M66" s="30">
        <v>0</v>
      </c>
      <c r="P66" s="30">
        <v>0</v>
      </c>
      <c r="S66" s="30">
        <v>0</v>
      </c>
      <c r="V66" s="30">
        <v>0</v>
      </c>
    </row>
    <row r="67" spans="1:22" ht="12.75">
      <c r="A67" s="1" t="s">
        <v>25</v>
      </c>
      <c r="B67" s="19" t="s">
        <v>26</v>
      </c>
      <c r="F67" s="22"/>
      <c r="M67" s="30"/>
      <c r="P67" s="30"/>
      <c r="S67" s="30"/>
      <c r="V67" s="30"/>
    </row>
    <row r="68" spans="1:22" ht="12.75">
      <c r="A68" s="1" t="s">
        <v>67</v>
      </c>
      <c r="B68" s="19" t="s">
        <v>68</v>
      </c>
      <c r="F68" s="22"/>
      <c r="M68" s="30"/>
      <c r="P68" s="30"/>
      <c r="S68" s="30"/>
      <c r="V68" s="30"/>
    </row>
    <row r="69" spans="1:22" ht="12.75">
      <c r="A69" s="1" t="s">
        <v>18</v>
      </c>
      <c r="C69" s="18"/>
      <c r="D69" s="18">
        <f>SUM(D63:D66)</f>
        <v>20614.430000000004</v>
      </c>
      <c r="E69" s="21"/>
      <c r="F69" s="18"/>
      <c r="G69" s="21"/>
      <c r="H69" s="18">
        <f>SUM(H63:H66)</f>
        <v>-18400</v>
      </c>
      <c r="I69" s="21"/>
      <c r="J69" s="18">
        <f>SUM(J63:J66)</f>
        <v>-18400</v>
      </c>
      <c r="M69" s="8">
        <f>SUM(M63:M66)</f>
        <v>-18400</v>
      </c>
      <c r="N69" s="18">
        <f>SUM(N63:N66)</f>
        <v>0</v>
      </c>
      <c r="O69" s="21"/>
      <c r="P69" s="8">
        <f>SUM(P63:P66)</f>
        <v>-18400</v>
      </c>
      <c r="S69" s="8">
        <f>SUM(S63:S66)</f>
        <v>-18400</v>
      </c>
      <c r="T69" s="18">
        <f>SUM(T63:T66)</f>
        <v>0</v>
      </c>
      <c r="U69" s="21"/>
      <c r="V69" s="8">
        <f>SUM(V63:V66)</f>
        <v>-18400</v>
      </c>
    </row>
    <row r="70" spans="1:22" ht="12.75">
      <c r="A70" s="21" t="s">
        <v>61</v>
      </c>
      <c r="B70" s="19" t="s">
        <v>62</v>
      </c>
      <c r="D70" s="18">
        <f>D62-D69</f>
        <v>52251.95</v>
      </c>
      <c r="F70" s="22"/>
      <c r="H70" s="18" t="e">
        <f>H62-H69</f>
        <v>#REF!</v>
      </c>
      <c r="J70" s="18" t="e">
        <f>J62-J69</f>
        <v>#REF!</v>
      </c>
      <c r="M70" s="24">
        <f>M62-M69</f>
        <v>-19464.114</v>
      </c>
      <c r="N70" s="18"/>
      <c r="P70" s="24">
        <f>P62-P69</f>
        <v>22589.329599999997</v>
      </c>
      <c r="S70" s="24">
        <f>S62-S69</f>
        <v>-16937.49000000005</v>
      </c>
      <c r="T70" s="18"/>
      <c r="V70" s="24">
        <f>V62-V69</f>
        <v>10419.791599999997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3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1"/>
  <sheetViews>
    <sheetView zoomScaleSheetLayoutView="1" workbookViewId="0" topLeftCell="A1">
      <selection activeCell="B12" sqref="B12"/>
    </sheetView>
  </sheetViews>
  <sheetFormatPr defaultColWidth="9.140625" defaultRowHeight="12.75"/>
  <cols>
    <col min="1" max="1" width="9.140625" style="1" customWidth="1"/>
  </cols>
  <sheetData>
    <row r="3" ht="12.75">
      <c r="A3" s="21" t="s">
        <v>93</v>
      </c>
    </row>
    <row r="5" ht="12.75">
      <c r="A5" s="1" t="s">
        <v>90</v>
      </c>
    </row>
    <row r="6" ht="12.75">
      <c r="A6" s="1" t="s">
        <v>91</v>
      </c>
    </row>
    <row r="7" ht="12.75">
      <c r="A7" s="1" t="s">
        <v>94</v>
      </c>
    </row>
    <row r="8" ht="12.75">
      <c r="A8" s="1" t="s">
        <v>96</v>
      </c>
    </row>
    <row r="10" ht="12.75">
      <c r="A10" s="1" t="s">
        <v>92</v>
      </c>
    </row>
    <row r="11" ht="12.75">
      <c r="A11" s="1" t="s">
        <v>95</v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TraceTracker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Jon Petter</cp:lastModifiedBy>
  <cp:lastPrinted>2010-02-10T21:07:59Z</cp:lastPrinted>
  <dcterms:created xsi:type="dcterms:W3CDTF">2007-12-18T17:48:31Z</dcterms:created>
  <dcterms:modified xsi:type="dcterms:W3CDTF">2010-02-10T21:08:31Z</dcterms:modified>
  <cp:category/>
  <cp:version/>
  <cp:contentType/>
  <cp:contentStatus/>
</cp:coreProperties>
</file>